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15" activeTab="0"/>
  </bookViews>
  <sheets>
    <sheet name="Taper Plan" sheetId="1" r:id="rId1"/>
    <sheet name="ShortActing" sheetId="2" state="hidden" r:id="rId2"/>
    <sheet name="LongActing" sheetId="3" state="hidden" r:id="rId3"/>
  </sheets>
  <definedNames>
    <definedName name="_xlnm.Print_Area" localSheetId="0">'Taper Plan'!$B$2:$M$39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<sst xmlns="http://schemas.openxmlformats.org/spreadsheetml/2006/main" count="60" uniqueCount="44">
  <si>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            Tapering Plan for Client with Chronic, Non-Cancer Pain</t>
  </si>
  <si>
    <t xml:space="preserve">           Please Fax to: Narcotic Review Program (360) 725-2122</t>
  </si>
  <si>
    <t>Baseline Opioid</t>
  </si>
  <si>
    <t>Current mg/Day</t>
  </si>
  <si>
    <t>Day</t>
  </si>
  <si>
    <t>Week</t>
  </si>
  <si>
    <t>Total mg/day: dosage schedule</t>
  </si>
  <si>
    <t>Use additional or separate sheet for client’s tapering plan and attach to this form. If more than one long or short acting narcotic is in use, please complete a separate taper chart for each medication.</t>
  </si>
  <si>
    <t>Short Acting</t>
  </si>
  <si>
    <t>Long Acting</t>
  </si>
  <si>
    <t>Opioid Type</t>
  </si>
  <si>
    <t>Short Acting Narcotics</t>
  </si>
  <si>
    <t>Codeine (Tylenol 2/3/4)</t>
  </si>
  <si>
    <t>Hydrocodone (Lortab, Vicodin, Zydone, Lorcet)</t>
  </si>
  <si>
    <t>Hydromorphone (Dilaudid, Palladone)</t>
  </si>
  <si>
    <t>Levorphanol</t>
  </si>
  <si>
    <t>Meperidine (Demerol)</t>
  </si>
  <si>
    <t>Oxycodone (Percocet, Percodan, Roxicodone, OxyIR)</t>
  </si>
  <si>
    <t>Oxymorphone (Opana)</t>
  </si>
  <si>
    <t>Propoxyphene hcl (Darvon)</t>
  </si>
  <si>
    <t>Propoxyphene napsylate (Darvocet)</t>
  </si>
  <si>
    <t>Fentanyl transdermal (Duragesic ) in mcg/hr</t>
  </si>
  <si>
    <t>Methadone (Methadose, Dolophine)</t>
  </si>
  <si>
    <t>Morphine (Avinza, MS Contin, Kadian, Oramorph)</t>
  </si>
  <si>
    <t>Long Acting Narcotics</t>
  </si>
  <si>
    <t xml:space="preserve">Client’s Name: </t>
  </si>
  <si>
    <t>Client ID#:</t>
  </si>
  <si>
    <t>Prescriber Signature :</t>
  </si>
  <si>
    <t>Date:</t>
  </si>
  <si>
    <t>Morphine</t>
  </si>
  <si>
    <t>Oxymorphone (Opana ER)</t>
  </si>
  <si>
    <t>Oxycodone (OxyContin, Oxycodone ER)</t>
  </si>
  <si>
    <t>Tramadol (Ultracet)</t>
  </si>
  <si>
    <t>MED Multiplier</t>
  </si>
  <si>
    <t>Current MED/Day</t>
  </si>
  <si>
    <t>% of Total MED</t>
  </si>
  <si>
    <t>Date</t>
  </si>
  <si>
    <t>MED of Short Acting Opioid</t>
  </si>
  <si>
    <t>MED of Long Acting Opioid</t>
  </si>
  <si>
    <t>Total Morphine Equianalgesic Dose</t>
  </si>
  <si>
    <t>Initial Total Dose</t>
  </si>
  <si>
    <r>
      <t xml:space="preserve">Go to </t>
    </r>
    <r>
      <rPr>
        <u val="single"/>
        <sz val="11"/>
        <color indexed="30"/>
        <rFont val="Calibri"/>
        <family val="2"/>
      </rPr>
      <t>http://www.agencymeddirectors.wa.gov/education.asp</t>
    </r>
    <r>
      <rPr>
        <sz val="11"/>
        <color theme="1"/>
        <rFont val="Calibri"/>
        <family val="2"/>
      </rPr>
      <t xml:space="preserve"> for  information about safe prescribing of opioids.</t>
    </r>
  </si>
  <si>
    <r>
      <t xml:space="preserve">Short and long acting narcotics should be tapered separately; first taper the short acting agent, then taper the long acting.  
</t>
    </r>
    <r>
      <rPr>
        <b/>
        <sz val="10"/>
        <color indexed="8"/>
        <rFont val="Calibri"/>
        <family val="2"/>
      </rPr>
      <t>Tapering short acting narcotics:</t>
    </r>
    <r>
      <rPr>
        <sz val="10"/>
        <color indexed="8"/>
        <rFont val="Calibri"/>
        <family val="2"/>
      </rPr>
      <t xml:space="preserve"> As a general rule, if the % of total MED is &lt; 10% of the initial total MED of all narcotics, taper by 10% of the initial total dose (milligrams) every 3 days.  If the % of the total MED is &gt; 10% of the initial total MED, taper by 10% of the initial total dose (milligrams) every week.  
</t>
    </r>
    <r>
      <rPr>
        <b/>
        <sz val="10"/>
        <color indexed="8"/>
        <rFont val="Calibri"/>
        <family val="2"/>
      </rPr>
      <t>Tapering long acting narcotics:</t>
    </r>
    <r>
      <rPr>
        <sz val="10"/>
        <color indexed="8"/>
        <rFont val="Calibri"/>
        <family val="2"/>
      </rPr>
      <t xml:space="preserve"> As a general rule, taper by 10% of the initial total dose (milligrams) until down to 30% of the initial total dose (milligrams).  Then, taper by 10% of the remaining 30% of the initial taper (milligrams). 
</t>
    </r>
  </si>
  <si>
    <r>
      <t xml:space="preserve">According to the Agency Medical Directors Opioid Guidelines, symptoms of an abstinence syndrome, such as nausea, diarrhea, muscle pain and myoclonus can be managed with clonidine 0.1-0.2mg orally q6hours  or Catapres-TTS 1 patch/weekly.  Sleep problems can be treated with zolpidem and/or low dose tricyclic agents, such as doxepin 10-50mg qhs.   </t>
    </r>
    <r>
      <rPr>
        <b/>
        <i/>
        <sz val="10"/>
        <color indexed="8"/>
        <rFont val="Calibri"/>
        <family val="2"/>
      </rPr>
      <t xml:space="preserve">DO NOT TREAT WITHDRAWAL SYMPTOMS WITH ADDITIONAL OPIOIDS OR BENZODIAZEPINES.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</si>
</sst>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top" wrapText="1"/>
    </xf>
    <xf numFmtId="0" fontId="54" fillId="34" borderId="0" xfId="0" applyFont="1" applyFill="1" applyBorder="1" applyAlignment="1">
      <alignment vertical="top" wrapText="1"/>
    </xf>
    <xf numFmtId="0" fontId="54" fillId="0" borderId="12" xfId="0" applyFont="1" applyBorder="1" applyAlignment="1" applyProtection="1">
      <alignment vertical="top" wrapText="1"/>
      <protection hidden="1"/>
    </xf>
    <xf numFmtId="0" fontId="48" fillId="0" borderId="0" xfId="0" applyFont="1" applyAlignment="1">
      <alignment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53" fillId="35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right" vertical="top" wrapText="1"/>
    </xf>
    <xf numFmtId="0" fontId="54" fillId="0" borderId="10" xfId="0" applyFont="1" applyBorder="1" applyAlignment="1" applyProtection="1">
      <alignment horizontal="right" vertical="top" wrapText="1"/>
      <protection hidden="1"/>
    </xf>
    <xf numFmtId="14" fontId="54" fillId="32" borderId="10" xfId="0" applyNumberFormat="1" applyFont="1" applyFill="1" applyBorder="1" applyAlignment="1" applyProtection="1">
      <alignment horizontal="right"/>
      <protection locked="0"/>
    </xf>
    <xf numFmtId="14" fontId="54" fillId="0" borderId="10" xfId="0" applyNumberFormat="1" applyFont="1" applyBorder="1" applyAlignment="1" applyProtection="1">
      <alignment horizontal="right"/>
      <protection/>
    </xf>
    <xf numFmtId="0" fontId="54" fillId="0" borderId="10" xfId="0" applyFont="1" applyBorder="1" applyAlignment="1" applyProtection="1">
      <alignment horizontal="right"/>
      <protection/>
    </xf>
    <xf numFmtId="0" fontId="53" fillId="35" borderId="10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50" fillId="33" borderId="10" xfId="0" applyFont="1" applyFill="1" applyBorder="1" applyAlignment="1" applyProtection="1">
      <alignment vertical="top" wrapText="1"/>
      <protection/>
    </xf>
    <xf numFmtId="0" fontId="50" fillId="33" borderId="14" xfId="0" applyFont="1" applyFill="1" applyBorder="1" applyAlignment="1" applyProtection="1">
      <alignment vertical="top" wrapText="1"/>
      <protection/>
    </xf>
    <xf numFmtId="0" fontId="54" fillId="33" borderId="10" xfId="0" applyNumberFormat="1" applyFont="1" applyFill="1" applyBorder="1" applyAlignment="1" applyProtection="1">
      <alignment vertical="top" wrapText="1"/>
      <protection/>
    </xf>
    <xf numFmtId="0" fontId="54" fillId="33" borderId="14" xfId="0" applyNumberFormat="1" applyFont="1" applyFill="1" applyBorder="1" applyAlignment="1" applyProtection="1">
      <alignment vertical="top" wrapText="1"/>
      <protection/>
    </xf>
    <xf numFmtId="0" fontId="54" fillId="33" borderId="12" xfId="0" applyFont="1" applyFill="1" applyBorder="1" applyAlignment="1" applyProtection="1">
      <alignment vertical="top" wrapText="1"/>
      <protection/>
    </xf>
    <xf numFmtId="0" fontId="50" fillId="0" borderId="10" xfId="0" applyFont="1" applyBorder="1" applyAlignment="1">
      <alignment/>
    </xf>
    <xf numFmtId="10" fontId="5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10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57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1" fontId="50" fillId="32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0" fillId="32" borderId="15" xfId="0" applyFill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0" fillId="36" borderId="10" xfId="0" applyFont="1" applyFill="1" applyBorder="1" applyAlignment="1">
      <alignment horizontal="right"/>
    </xf>
    <xf numFmtId="0" fontId="59" fillId="0" borderId="16" xfId="0" applyFont="1" applyBorder="1" applyAlignment="1">
      <alignment wrapText="1"/>
    </xf>
    <xf numFmtId="0" fontId="57" fillId="0" borderId="0" xfId="0" applyFont="1" applyAlignment="1">
      <alignment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14" fontId="0" fillId="32" borderId="15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35" borderId="17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4" fillId="0" borderId="17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0" fillId="0" borderId="0" xfId="0" applyAlignment="1">
      <alignment/>
    </xf>
    <xf numFmtId="0" fontId="53" fillId="35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2</xdr:col>
      <xdr:colOff>590550</xdr:colOff>
      <xdr:row>5</xdr:row>
      <xdr:rowOff>47625</xdr:rowOff>
    </xdr:to>
    <xdr:pic>
      <xdr:nvPicPr>
        <xdr:cNvPr id="1" name="Picture 1" descr="HRS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42"/>
  <sheetViews>
    <sheetView showGridLines="0" showRowColHeaders="0" tabSelected="1" zoomScaleSheetLayoutView="100" zoomScalePageLayoutView="0" workbookViewId="0" topLeftCell="A1">
      <selection activeCell="D7" sqref="D7:I7"/>
    </sheetView>
  </sheetViews>
  <sheetFormatPr defaultColWidth="9.140625" defaultRowHeight="15"/>
  <cols>
    <col min="1" max="1" width="0.85546875" style="36" customWidth="1"/>
    <col min="2" max="2" width="6.8515625" style="0" customWidth="1"/>
    <col min="3" max="3" width="8.8515625" style="0" customWidth="1"/>
    <col min="4" max="4" width="7.8515625" style="0" customWidth="1"/>
    <col min="5" max="5" width="6.7109375" style="0" customWidth="1"/>
    <col min="6" max="6" width="6.8515625" style="0" customWidth="1"/>
    <col min="7" max="7" width="8.8515625" style="0" customWidth="1"/>
    <col min="8" max="8" width="7.8515625" style="0" customWidth="1"/>
    <col min="9" max="9" width="6.7109375" style="0" customWidth="1"/>
    <col min="10" max="10" width="6.8515625" style="0" customWidth="1"/>
    <col min="12" max="12" width="7.8515625" style="0" customWidth="1"/>
    <col min="13" max="13" width="6.7109375" style="0" customWidth="1"/>
    <col min="15" max="15" width="9.7109375" style="0" customWidth="1"/>
    <col min="16" max="76" width="0" style="0" hidden="1" customWidth="1"/>
  </cols>
  <sheetData>
    <row r="1" s="36" customFormat="1" ht="4.5" customHeight="1"/>
    <row r="4" spans="2:13" ht="18" customHeight="1">
      <c r="B4" s="62"/>
      <c r="C4" s="68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31"/>
    </row>
    <row r="5" spans="2:13" ht="14.25">
      <c r="B5" s="63"/>
      <c r="C5" s="70" t="s">
        <v>1</v>
      </c>
      <c r="D5" s="41"/>
      <c r="E5" s="41"/>
      <c r="F5" s="41"/>
      <c r="G5" s="41"/>
      <c r="H5" s="41"/>
      <c r="I5" s="41"/>
      <c r="J5" s="41"/>
      <c r="K5" s="41"/>
      <c r="L5" s="41"/>
      <c r="M5" s="32"/>
    </row>
    <row r="6" ht="3.75" customHeight="1">
      <c r="B6" s="2"/>
    </row>
    <row r="7" spans="2:13" ht="14.25">
      <c r="B7" s="49" t="s">
        <v>25</v>
      </c>
      <c r="C7" s="49"/>
      <c r="D7" s="39"/>
      <c r="E7" s="39"/>
      <c r="F7" s="39"/>
      <c r="G7" s="39"/>
      <c r="H7" s="39"/>
      <c r="I7" s="48"/>
      <c r="J7" s="50" t="s">
        <v>26</v>
      </c>
      <c r="K7" s="50"/>
      <c r="L7" s="39"/>
      <c r="M7" s="39"/>
    </row>
    <row r="8" spans="2:13" ht="89.25" customHeight="1">
      <c r="B8" s="60" t="s">
        <v>42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3.75" customHeight="1">
      <c r="B9" s="3"/>
    </row>
    <row r="10" spans="2:13" s="1" customFormat="1" ht="31.5" customHeight="1">
      <c r="B10" s="71" t="s">
        <v>41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ht="3" customHeight="1">
      <c r="B11" s="1"/>
    </row>
    <row r="12" spans="2:13" ht="66" customHeight="1">
      <c r="B12" s="73" t="s">
        <v>43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ht="4.5" customHeight="1">
      <c r="B13" s="1"/>
    </row>
    <row r="14" spans="2:11" ht="14.25" thickBot="1">
      <c r="B14" s="4" t="s">
        <v>40</v>
      </c>
      <c r="D14" s="23">
        <f>IF(D16&lt;6,E14,F14)</f>
      </c>
      <c r="E14" s="23">
        <f>IF(D16&lt;2,"(Codeine) ",IF(D16&lt;3,"(Hydrocodone) ",IF(D16&lt;4,"(Hydromorphone) ",IF(D16&lt;5,"(Meperidine) ",IF(D16&lt;6,"(Morphine) ","")))))</f>
      </c>
      <c r="F14" s="23">
        <f>IF(D16&lt;6,"",IF(D16&lt;7,"(Oxycodone) ",IF(D16&lt;8,"(Oxymorphone) ",IF(D16&lt;9,"(Propoxyphene) ",IF(D16&lt;10,"(Propoxyphene) ",IF(D16&lt;11,"(Tramadol) ",""))))))</f>
      </c>
      <c r="G14" s="23">
        <f>IF(D17&lt;2,"(Fentanyl) ",IF(D17&lt;3,"(Hydromorphone) ",IF(D17&lt;4,"(Levorphanol) ",IF(D17&lt;5,"(Methadone) ",IF(D17&lt;6,"(Morphine) ",IF(D17&lt;7,"(Oxycodone) ",IF(D17&lt;8,"(Oxymorphone) ","")))))))</f>
      </c>
      <c r="H14" s="23">
        <f>IF(D16&lt;2,0.15,IF(D16&lt;3,1,IF(D16&lt;4,4,IF(D16&lt;5,0.1,IF(D16&lt;6,1,0)))))</f>
        <v>0</v>
      </c>
      <c r="I14" s="23">
        <f>IF(D16&lt;6,0,IF(D16&lt;7,1.5,IF(D16&lt;8,3,IF(D16&lt;9,0.23,IF(D16&lt;10,0.15,IF(D16&lt;11,0.144,0))))))</f>
        <v>0</v>
      </c>
      <c r="J14" s="38"/>
      <c r="K14" s="38"/>
    </row>
    <row r="15" spans="2:12" ht="21" thickBot="1">
      <c r="B15" s="64" t="s">
        <v>10</v>
      </c>
      <c r="C15" s="65"/>
      <c r="D15" s="51" t="s">
        <v>2</v>
      </c>
      <c r="E15" s="52"/>
      <c r="F15" s="52"/>
      <c r="G15" s="52"/>
      <c r="H15" s="52"/>
      <c r="I15" s="53"/>
      <c r="J15" s="16" t="s">
        <v>3</v>
      </c>
      <c r="K15" s="22" t="s">
        <v>34</v>
      </c>
      <c r="L15" s="22" t="s">
        <v>35</v>
      </c>
    </row>
    <row r="16" spans="2:13" ht="15.75" thickBot="1">
      <c r="B16" s="66" t="s">
        <v>8</v>
      </c>
      <c r="C16" s="67"/>
      <c r="D16" s="54">
        <v>11</v>
      </c>
      <c r="E16" s="55"/>
      <c r="F16" s="55"/>
      <c r="G16" s="55"/>
      <c r="H16" s="55"/>
      <c r="I16" s="56"/>
      <c r="J16" s="37"/>
      <c r="K16" s="29">
        <f>IF(AND(J16&gt;0,OR(H14&gt;0,I14&gt;0)),IF(D16&lt;6,J16*H14,J16*I14),0)</f>
        <v>0</v>
      </c>
      <c r="L16" s="30">
        <f>IF(AND(K16&gt;0,K18&gt;0),K16/K18,"")</f>
      </c>
      <c r="M16" s="23"/>
    </row>
    <row r="17" spans="2:13" ht="15.75" thickBot="1">
      <c r="B17" s="66" t="s">
        <v>9</v>
      </c>
      <c r="C17" s="67"/>
      <c r="D17" s="57">
        <v>8</v>
      </c>
      <c r="E17" s="58"/>
      <c r="F17" s="58"/>
      <c r="G17" s="58"/>
      <c r="H17" s="58"/>
      <c r="I17" s="59"/>
      <c r="J17" s="37"/>
      <c r="K17" s="29">
        <f>IF(AND(J17&gt;0,M17&gt;0),IF(D17=4,IF(J17&lt;21,J17*4,IF(J17&lt;41,J17*8,IF(J17&lt;61,J17*10,J17*12))),J17*M17),0)</f>
        <v>0</v>
      </c>
      <c r="L17" s="30">
        <f>IF(AND(K17&gt;0,K18&gt;0),K17/K18,"")</f>
      </c>
      <c r="M17" s="23">
        <f>IF(D17&lt;2,2.4,IF(D17&lt;3,4,IF(D17&lt;4,7.5,IF(D17&lt;5,4,IF(D17&lt;6,1,IF(D17&lt;7,1.5,IF(D17&lt;8,3,0)))))))</f>
        <v>0</v>
      </c>
    </row>
    <row r="18" spans="2:11" ht="14.25" customHeight="1" thickBot="1">
      <c r="B18" s="42" t="s">
        <v>39</v>
      </c>
      <c r="C18" s="42"/>
      <c r="D18" s="42"/>
      <c r="E18" s="42"/>
      <c r="F18" s="42"/>
      <c r="G18" s="42"/>
      <c r="H18" s="42"/>
      <c r="I18" s="42"/>
      <c r="J18" s="42"/>
      <c r="K18" s="29">
        <f>SUM(K16:K17)</f>
        <v>0</v>
      </c>
    </row>
    <row r="19" spans="2:13" ht="14.25" thickBot="1">
      <c r="B19" s="45" t="str">
        <f>IF(L16&gt;0.1,"First taper Short Acting Narcotics "&amp;D14&amp;"q week if &gt; 10% of total MED  if combined with a long acting opioid.","First taper Short Acting Narcotics "&amp;D14&amp;"q 3 days if &lt;= 10% of total MED  if combined with a long acting opioid.")</f>
        <v>First taper Short Acting Narcotics q week if &gt; 10% of total MED  if combined with a long acting opioid.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9" ht="42" thickBot="1">
      <c r="B20" s="5" t="s">
        <v>5</v>
      </c>
      <c r="C20" s="5" t="s">
        <v>4</v>
      </c>
      <c r="D20" s="6" t="s">
        <v>6</v>
      </c>
      <c r="E20" s="6" t="s">
        <v>37</v>
      </c>
      <c r="F20" s="5" t="s">
        <v>5</v>
      </c>
      <c r="G20" s="6" t="s">
        <v>4</v>
      </c>
      <c r="H20" s="6" t="s">
        <v>6</v>
      </c>
      <c r="I20" s="6" t="s">
        <v>37</v>
      </c>
    </row>
    <row r="21" spans="2:9" ht="14.25" thickBot="1">
      <c r="B21" s="24">
        <f>IF(L16&gt;0.1,1,1)</f>
        <v>1</v>
      </c>
      <c r="C21" s="26" t="str">
        <f>IF(L16&gt;0.1,"1-7","1-3")</f>
        <v>1-7</v>
      </c>
      <c r="D21" s="11">
        <f>IF(AND(ISNUMBER(J16),J16&gt;0),IF(J16&gt;MROUND(J16*0.9,5),MROUND(J16*0.9,5),J16-5),0)</f>
        <v>0</v>
      </c>
      <c r="E21" s="11">
        <f>IF(AND(D21&gt;0,OR(H14&gt;0,I14&gt;0)),IF(D16&lt;6,D21*H14,D21*I14),0)</f>
        <v>0</v>
      </c>
      <c r="F21" s="24">
        <f>IF(L16&gt;0.1,6,3)</f>
        <v>6</v>
      </c>
      <c r="G21" s="28" t="str">
        <f>IF(L16&gt;0.1,"36-42","16-18")</f>
        <v>36-42</v>
      </c>
      <c r="H21" s="11">
        <f>IF(AND(ISNUMBER(J16),J16&gt;0,D25&gt;0),IF(D25&gt;MROUND(J16*0.4,5),MROUND(J16*0.4,5),D25-5),0)</f>
        <v>0</v>
      </c>
      <c r="I21" s="33">
        <f>IF(AND(H21&gt;0,OR(H14&gt;0,I14&gt;0)),IF(D16&lt;6,H21*H14,H21*I14),0)</f>
        <v>0</v>
      </c>
    </row>
    <row r="22" spans="2:9" ht="14.25" thickBot="1">
      <c r="B22" s="25">
        <f>IF(L16&gt;0.1,2,"")</f>
        <v>2</v>
      </c>
      <c r="C22" s="27" t="str">
        <f>IF(L16&gt;0.1,"8-14","4-6")</f>
        <v>8-14</v>
      </c>
      <c r="D22" s="11">
        <f>IF(AND(ISNUMBER(J16),J16&gt;0,D21&gt;0),IF(D21&gt;MROUND(J16*0.8,5),MROUND(J16*0.8,5),D21-5),0)</f>
        <v>0</v>
      </c>
      <c r="E22" s="11">
        <f>IF(AND(D22&gt;0,OR(H14&gt;0,I14&gt;0)),IF(D16&lt;6,D22*H14,D22*I14),0)</f>
        <v>0</v>
      </c>
      <c r="F22" s="25">
        <f>IF(L16&gt;0.1,7,"")</f>
        <v>7</v>
      </c>
      <c r="G22" s="28" t="str">
        <f>IF(L16&gt;0.1,"43-49","19-21")</f>
        <v>43-49</v>
      </c>
      <c r="H22" s="11">
        <f>IF(AND(ISNUMBER(J16),J16&gt;0,H21&gt;0),IF(H21&gt;MROUND(J16*0.3,5),MROUND(J16*0.3,5),H21-5),0)</f>
        <v>0</v>
      </c>
      <c r="I22" s="33">
        <f>IF(AND(H22&gt;0,OR(H14&gt;0,I14&gt;0)),IF(D16&lt;6,H22*H14,H22*I14),0)</f>
        <v>0</v>
      </c>
    </row>
    <row r="23" spans="2:9" ht="14.25" thickBot="1">
      <c r="B23" s="25">
        <f>IF(L16&gt;0.1,3,"")</f>
        <v>3</v>
      </c>
      <c r="C23" s="27" t="str">
        <f>IF(L16&gt;0.1,"15-21","7-9")</f>
        <v>15-21</v>
      </c>
      <c r="D23" s="11">
        <f>IF(AND(ISNUMBER(J16),J16&gt;0,D22&gt;0),IF(D22&gt;MROUND(J16*0.7,5),MROUND(J16*0.7,5),D22-5),0)</f>
        <v>0</v>
      </c>
      <c r="E23" s="11">
        <f>IF(AND(D23&gt;0,OR(H14&gt;0,I14&gt;0)),IF(D16&lt;6,D23*H14,D23*I14),0)</f>
        <v>0</v>
      </c>
      <c r="F23" s="25">
        <f>IF(L16&gt;0.1,8,4)</f>
        <v>8</v>
      </c>
      <c r="G23" s="28" t="str">
        <f>IF(L16&gt;0.1,"50-56","22-24")</f>
        <v>50-56</v>
      </c>
      <c r="H23" s="11">
        <f>IF(AND(ISNUMBER(J16),J16&gt;0,H22&gt;0),IF(H22&gt;MROUND(J16*0.2,5),MROUND(J16*0.2,5),H22-5),0)</f>
        <v>0</v>
      </c>
      <c r="I23" s="33">
        <f>IF(AND(H23&gt;0,OR(H14&gt;0,I14&gt;0)),IF(D16&lt;6,H23*H14,H23*I14),0)</f>
        <v>0</v>
      </c>
    </row>
    <row r="24" spans="2:9" ht="14.25" thickBot="1">
      <c r="B24" s="25">
        <f>IF(L16&gt;0.1,4,2)</f>
        <v>4</v>
      </c>
      <c r="C24" s="27" t="str">
        <f>IF(L16&gt;0.1,"22-28","10-12")</f>
        <v>22-28</v>
      </c>
      <c r="D24" s="11">
        <f>IF(AND(ISNUMBER(J16),J16&gt;0,D23&gt;0),IF(D23&gt;MROUND(J16*0.6,5),MROUND(J16*0.6,5),D23-5),0)</f>
        <v>0</v>
      </c>
      <c r="E24" s="11">
        <f>IF(AND(D24&gt;0,OR(H14&gt;0,I14&gt;0)),IF(D16&lt;6,D24*H14,D24*I14),0)</f>
        <v>0</v>
      </c>
      <c r="F24" s="25">
        <f>IF(L16&gt;0.1,9,"")</f>
        <v>9</v>
      </c>
      <c r="G24" s="28" t="str">
        <f>IF(L16&gt;0.1,"57-63","25-27")</f>
        <v>57-63</v>
      </c>
      <c r="H24" s="11">
        <f>IF(AND(ISNUMBER(J16),J16&gt;0,H23&gt;0),IF(H23&gt;MROUND(J16*0.1,5),MROUND(J16*0.1,5),H23-5),0)</f>
        <v>0</v>
      </c>
      <c r="I24" s="33">
        <f>IF(AND(H24&gt;0,OR(H14&gt;0,I14&gt;0)),IF(D16&lt;6,H24*H14,H24*I14),0)</f>
        <v>0</v>
      </c>
    </row>
    <row r="25" spans="2:9" ht="14.25" thickBot="1">
      <c r="B25" s="25">
        <f>IF(L16&gt;0.1,5,"")</f>
        <v>5</v>
      </c>
      <c r="C25" s="27" t="str">
        <f>IF(L16&gt;0.1,"29-35","13-15")</f>
        <v>29-35</v>
      </c>
      <c r="D25" s="33">
        <f>IF(AND(ISNUMBER(J16),J16&gt;0,D24&gt;0),IF(D24&gt;MROUND(J16*0.5,5),MROUND(J16*0.5,5),D24-5),0)</f>
        <v>0</v>
      </c>
      <c r="E25" s="11">
        <f>IF(AND(D25&gt;0,OR(H14&gt;0,I14&gt;0)),IF(D16&lt;6,D25*H14,D25*I14),0)</f>
        <v>0</v>
      </c>
      <c r="F25" s="25">
        <f>IF(L16&gt;0.1,10,"")</f>
        <v>10</v>
      </c>
      <c r="G25" s="28" t="str">
        <f>IF(L16&gt;0.1,"64-70","28-30")</f>
        <v>64-70</v>
      </c>
      <c r="H25" s="18">
        <v>0</v>
      </c>
      <c r="I25" s="18"/>
    </row>
    <row r="26" ht="7.5" customHeight="1">
      <c r="B26" s="1"/>
    </row>
    <row r="27" spans="2:13" ht="26.25" customHeight="1" thickBot="1">
      <c r="B27" s="43" t="str">
        <f>"Then taper long acting narcotics "&amp;G14&amp;"weekly by 10% reduction from Initial Total Dose until down to 30% of the initial dose (milligrams). Then, taper by 10% of the remaining 30% of the initial taper (milligrams).  "</f>
        <v>Then taper long acting narcotics weekly by 10% reduction from Initial Total Dose until down to 30% of the initial dose (milligrams). Then, taper by 10% of the remaining 30% of the initial taper (milligrams).  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2:13" ht="42" thickBot="1">
      <c r="B28" s="35" t="s">
        <v>5</v>
      </c>
      <c r="C28" s="5" t="s">
        <v>36</v>
      </c>
      <c r="D28" s="5" t="s">
        <v>6</v>
      </c>
      <c r="E28" s="6" t="s">
        <v>38</v>
      </c>
      <c r="F28" s="5" t="s">
        <v>5</v>
      </c>
      <c r="G28" s="5" t="s">
        <v>36</v>
      </c>
      <c r="H28" s="5" t="s">
        <v>6</v>
      </c>
      <c r="I28" s="5" t="s">
        <v>38</v>
      </c>
      <c r="J28" s="5" t="s">
        <v>5</v>
      </c>
      <c r="K28" s="5" t="s">
        <v>36</v>
      </c>
      <c r="L28" s="5" t="s">
        <v>6</v>
      </c>
      <c r="M28" s="5" t="s">
        <v>38</v>
      </c>
    </row>
    <row r="29" spans="2:13" ht="14.25" thickBot="1">
      <c r="B29" s="17">
        <v>1</v>
      </c>
      <c r="C29" s="19"/>
      <c r="D29" s="18">
        <f>IF(J17&gt;0,IF(J17&gt;MROUND(J17*0.9,5),MROUND(J17*0.9,5),J17-5),"")</f>
      </c>
      <c r="E29" s="18">
        <f>IF(AND(ISNUMBER(D29),D29&gt;0,M17&gt;0),IF(D17=4,IF(D29&lt;21,D29*4,IF(D29&lt;41,D29*8,IF(D29&lt;61,D29*10,D29*12))),D29*M17),"")</f>
      </c>
      <c r="F29" s="17">
        <v>7</v>
      </c>
      <c r="G29" s="20">
        <f>IF(LEN(H29)=0,"",IF(ISBLANK(C29),"",C29+42))</f>
      </c>
      <c r="H29" s="18">
        <f>IF(ISNUMBER(D34),IF(D34&gt;0,IF(D34&lt;=MROUND(J17*0.3,5),D34-5,MROUND(J17*0.3,5)),""),"")</f>
      </c>
      <c r="I29" s="18">
        <f>IF(AND(ISNUMBER(H29),H29&gt;0,M17&gt;0),IF(D17=4,IF(H29&lt;21,H29*4,IF(H29&lt;41,H29*8,IF(H29&lt;61,H29*10,H29*12))),H29*M17),"")</f>
      </c>
      <c r="J29" s="17">
        <v>13</v>
      </c>
      <c r="K29" s="20">
        <f>IF(LEN(L29)=0,"",IF(ISBLANK(C29),"",C29+84))</f>
      </c>
      <c r="L29" s="18">
        <f>IF(ISNUMBER(H34),IF(H34&gt;0,IF(H34&lt;=MROUND(H29*0.4,5),H34-5,MROUND(H29*0.4,5)),""),"")</f>
      </c>
      <c r="M29" s="18">
        <f>IF(AND(ISNUMBER(L29),L29&gt;0,M17&gt;0),IF(D17=4,IF(L29&lt;21,L29*4,IF(L29&lt;41,L29*8,IF(L29&lt;61,L29*10,L29*12))),L29*M17),"")</f>
      </c>
    </row>
    <row r="30" spans="2:13" ht="14.25" thickBot="1">
      <c r="B30" s="17">
        <v>2</v>
      </c>
      <c r="C30" s="20">
        <f>IF(LEN(D30)=0,"",IF(ISBLANK(C29),"",C29+7))</f>
      </c>
      <c r="D30" s="18">
        <f>IF(ISNUMBER(D29),IF(D29&gt;0,IF(D29&lt;=MROUND(J17*0.8,5),D29-5,MROUND(J17*0.8,5)),""),"")</f>
      </c>
      <c r="E30" s="18">
        <f>IF(AND(ISNUMBER(D30),D30&gt;0,M17&gt;0),IF(D17=4,IF(D30&lt;21,D30*4,IF(D30&lt;41,D30*8,IF(D30&lt;61,D30*10,D30*12))),D30*M17),"")</f>
      </c>
      <c r="F30" s="17">
        <v>8</v>
      </c>
      <c r="G30" s="20">
        <f>IF(LEN(H30)=0,"",IF(ISBLANK(C29),"",C29+49))</f>
      </c>
      <c r="H30" s="18">
        <f>IF(ISNUMBER(H29),IF(H29&gt;0,IF(H29&lt;=MROUND(H29*0.9,5),H29-5,MROUND(H29*0.9,5)),""),"")</f>
      </c>
      <c r="I30" s="18">
        <f>IF(AND(ISNUMBER(H30),H30&gt;0,M17&gt;0),IF(D17=4,IF(H30&lt;21,H30*4,IF(H30&lt;41,H30*8,IF(H30&lt;61,H30*10,H30*12))),H30*M17),"")</f>
      </c>
      <c r="J30" s="17">
        <v>14</v>
      </c>
      <c r="K30" s="20">
        <f>IF(LEN(L30)=0,"",IF(ISBLANK(C29),"",C29+91))</f>
      </c>
      <c r="L30" s="18">
        <f>IF(ISNUMBER(L29),IF(L29&gt;0,IF(L29&lt;=MROUND(H29*0.3,5),L29-5,MROUND(H29*0.3,5)),""),"")</f>
      </c>
      <c r="M30" s="18">
        <f>IF(AND(ISNUMBER(L30),L30&gt;0,M17&gt;0),IF(D17=4,IF(L30&lt;21,L30*4,IF(L30&lt;41,L30*8,IF(L30&lt;61,L30*10,L30*12))),L30*M17),"")</f>
      </c>
    </row>
    <row r="31" spans="2:13" ht="14.25" thickBot="1">
      <c r="B31" s="17">
        <v>3</v>
      </c>
      <c r="C31" s="20">
        <f>IF(LEN(D31)=0,"",IF(ISBLANK(C29),"",C29+14))</f>
      </c>
      <c r="D31" s="18">
        <f>IF(ISNUMBER(D30),IF(D30&gt;0,IF(D30&lt;=MROUND(J17*0.7,5),D30-5,MROUND(J17*0.7,5)),""),"")</f>
      </c>
      <c r="E31" s="18">
        <f>IF(AND(ISNUMBER(D31),D31&gt;0,M17&gt;0),IF(D17=4,IF(D31&lt;21,D31*4,IF(D31&lt;41,D31*8,IF(D31&lt;61,D31*10,D31*12))),D31*M17),"")</f>
      </c>
      <c r="F31" s="17">
        <v>9</v>
      </c>
      <c r="G31" s="20">
        <f>IF(LEN(H31)=0,"",IF(ISBLANK(C29),"",C29+56))</f>
      </c>
      <c r="H31" s="18">
        <f>IF(ISNUMBER(H30),IF(H30&gt;0,IF(H30&lt;=MROUND(H29*0.8,5),H30-5,MROUND(H29*0.8,5)),""),"")</f>
      </c>
      <c r="I31" s="18">
        <f>IF(AND(ISNUMBER(H31),H31&gt;0,M17&gt;0),IF(D17=4,IF(H31&lt;21,H31*4,IF(H31&lt;41,H31*8,IF(H31&lt;61,H31*10,H31*12))),H31*M17),"")</f>
      </c>
      <c r="J31" s="17">
        <v>15</v>
      </c>
      <c r="K31" s="20">
        <f>IF(LEN(L31)=0,"",IF(ISBLANK(C29),"",C29+98))</f>
      </c>
      <c r="L31" s="18">
        <f>IF(ISNUMBER(L30),IF(L30&gt;0,IF(L30&lt;=MROUND(H29*0.2,5),L30-5,MROUND(H29*0.2,5)),""),"")</f>
      </c>
      <c r="M31" s="18">
        <f>IF(AND(ISNUMBER(L31),L31&gt;0,M17&gt;0),IF(D17=4,IF(L31&lt;21,L31*4,IF(L31&lt;41,L31*8,IF(L31&lt;61,L31*10,L31*12))),L31*M17),"")</f>
      </c>
    </row>
    <row r="32" spans="2:13" ht="14.25" thickBot="1">
      <c r="B32" s="17">
        <v>4</v>
      </c>
      <c r="C32" s="20">
        <f>IF(LEN(D32)=0,"",IF(ISBLANK(C29),"",C29+21))</f>
      </c>
      <c r="D32" s="18">
        <f>IF(ISNUMBER(D31),IF(D31&gt;0,IF(D31&lt;=MROUND(J17*0.6,5),D31-5,MROUND(J17*0.6,5)),""),"")</f>
      </c>
      <c r="E32" s="18">
        <f>IF(AND(ISNUMBER(D32),D32&gt;0,M17&gt;0),IF(D17=4,IF(D32&lt;21,D32*4,IF(D32&lt;41,D32*8,IF(D32&lt;61,D32*10,D32*12))),D32*M17),"")</f>
      </c>
      <c r="F32" s="17">
        <v>10</v>
      </c>
      <c r="G32" s="20">
        <f>IF(LEN(H32)=0,"",IF(ISBLANK(C29),"",C29+63))</f>
      </c>
      <c r="H32" s="18">
        <f>IF(ISNUMBER(H31),IF(H31&gt;0,IF(H31&lt;=MROUND(H29*0.7,5),H31-5,MROUND(H29*0.7,5)),""),"")</f>
      </c>
      <c r="I32" s="18">
        <f>IF(AND(ISNUMBER(H32),H32&gt;0,M17&gt;0),IF(D17=4,IF(H32&lt;21,H32*4,IF(H32&lt;41,H32*8,IF(H32&lt;61,H32*10,H32*12))),H32*M17),"")</f>
      </c>
      <c r="J32" s="17">
        <v>16</v>
      </c>
      <c r="K32" s="20">
        <f>IF(LEN(L32)=0,"",IF(ISBLANK(C29),"",C29+105))</f>
      </c>
      <c r="L32" s="18">
        <f>IF(ISNUMBER(L31),IF(L31&gt;0,IF(L31&lt;=MROUND(H29*0.1,5),L31-5,MROUND(H29*0.1,5)),""),"")</f>
      </c>
      <c r="M32" s="18">
        <f>IF(AND(ISNUMBER(L32),L32&gt;0,M17&gt;0),IF(D17=4,IF(L32&lt;21,L32*4,IF(L32&lt;41,L32*8,IF(L32&lt;61,L32*10,L32*12))),L32*M17),"")</f>
      </c>
    </row>
    <row r="33" spans="2:13" ht="14.25" thickBot="1">
      <c r="B33" s="17">
        <v>5</v>
      </c>
      <c r="C33" s="20">
        <f>IF(LEN(D33)=0,"",IF(ISBLANK(C29),"",C29+28))</f>
      </c>
      <c r="D33" s="18">
        <f>IF(ISNUMBER(D32),IF(D32&gt;0,IF(D32&lt;=MROUND(J17*0.5,5),D32-5,MROUND(J17*0.5,5)),""),"")</f>
      </c>
      <c r="E33" s="18">
        <f>IF(AND(ISNUMBER(D33),D33&gt;0,M17&gt;0),IF(D17=4,IF(D33&lt;21,D33*4,IF(D33&lt;41,D33*8,IF(D33&lt;61,D33*10,D33*12))),D33*M17),"")</f>
      </c>
      <c r="F33" s="17">
        <v>11</v>
      </c>
      <c r="G33" s="20">
        <f>IF(LEN(H33)=0,"",IF(ISBLANK(C29),"",C29+70))</f>
      </c>
      <c r="H33" s="18">
        <f>IF(ISNUMBER(H32),IF(H32&gt;0,IF(H32&lt;=MROUND(H29*0.6,5),H32-5,MROUND(H29*0.6,5)),""),"")</f>
      </c>
      <c r="I33" s="18">
        <f>IF(AND(ISNUMBER(H33),H33&gt;0,M17&gt;0),IF(D17=4,IF(H33&lt;21,H33*4,IF(H33&lt;41,H33*8,IF(H33&lt;61,H33*10,H33*12))),H33*M17),"")</f>
      </c>
      <c r="J33" s="17">
        <v>17</v>
      </c>
      <c r="K33" s="20">
        <f>IF(LEN(L33)=0,"",IF(ISBLANK(C29),"",C29+112))</f>
      </c>
      <c r="L33" s="18">
        <f>IF(ISNUMBER(L32),IF(L32&gt;0,IF(L32&lt;=MROUND(H29*0,5),L32-5,MROUND(H29*0,5)),""),"")</f>
      </c>
      <c r="M33" s="18">
        <f>IF(AND(ISNUMBER(L33),L33&gt;0,M17&gt;0),IF(D17=4,IF(L33&lt;21,L33*4,IF(L33&lt;41,L33*8,IF(L33&lt;61,L33*10,L33*12))),L33*M17),"")</f>
      </c>
    </row>
    <row r="34" spans="2:13" ht="14.25" thickBot="1">
      <c r="B34" s="17">
        <v>6</v>
      </c>
      <c r="C34" s="20">
        <f>IF(LEN(D34)=0,"",IF(ISBLANK(C29),"",C29+35))</f>
      </c>
      <c r="D34" s="18">
        <f>IF(ISNUMBER(D33),IF(D33&gt;0,IF(D33&lt;=MROUND(J17*0.4,5),D33-5,MROUND(J17*0.4,5)),""),"")</f>
      </c>
      <c r="E34" s="18">
        <f>IF(AND(ISNUMBER(D34),D34&gt;0,M17&gt;0),IF(D17=4,IF(D34&lt;21,D34*4,IF(D34&lt;41,D34*8,IF(D34&lt;61,D34*10,D34*12))),D34*M17),"")</f>
      </c>
      <c r="F34" s="17">
        <v>12</v>
      </c>
      <c r="G34" s="20">
        <f>IF(LEN(H34)=0,"",IF(ISBLANK(C29),"",C29+77))</f>
      </c>
      <c r="H34" s="18">
        <f>IF(ISNUMBER(H33),IF(H33&gt;0,IF(H33&lt;=MROUND(H29*0.5,5),H33-5,MROUND(H29*0.5,5)),""),"")</f>
      </c>
      <c r="I34" s="18">
        <f>IF(AND(ISNUMBER(H34),H34&gt;0,M17&gt;0),IF(D17=4,IF(H34&lt;21,H34*4,IF(H34&lt;41,H34*8,IF(H34&lt;61,H34*10,H34*12))),H34*M17),"")</f>
      </c>
      <c r="J34" s="17"/>
      <c r="K34" s="21"/>
      <c r="L34" s="18">
        <f>IF(ISNUMBER(L33),IF(L33&gt;0,IF(L33&lt;=MROUND(L29*0.5,5),L33-5,MROUND(L29*0.5,5)),""),"")</f>
      </c>
      <c r="M34" s="18"/>
    </row>
    <row r="35" spans="2:13" ht="3" customHeight="1">
      <c r="B35" s="10"/>
      <c r="C35" s="8"/>
      <c r="D35" s="9"/>
      <c r="E35" s="9"/>
      <c r="F35" s="10"/>
      <c r="G35" s="8"/>
      <c r="H35" s="8"/>
      <c r="I35" s="8"/>
      <c r="J35" s="8"/>
      <c r="K35" s="8"/>
      <c r="L35" s="8"/>
      <c r="M35" s="8"/>
    </row>
    <row r="36" spans="2:13" ht="23.25" customHeight="1">
      <c r="B36" s="44" t="s">
        <v>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2:13" ht="15">
      <c r="B37" s="40" t="s">
        <v>27</v>
      </c>
      <c r="C37" s="41"/>
      <c r="D37" s="41"/>
      <c r="E37" s="39"/>
      <c r="F37" s="39"/>
      <c r="G37" s="39"/>
      <c r="H37" s="39"/>
      <c r="I37" s="39"/>
      <c r="J37" s="15" t="s">
        <v>28</v>
      </c>
      <c r="K37" s="47"/>
      <c r="L37" s="39"/>
      <c r="M37" s="34"/>
    </row>
    <row r="40" ht="14.25">
      <c r="B40" s="4"/>
    </row>
    <row r="41" ht="15.75">
      <c r="B41" s="7"/>
    </row>
    <row r="42" ht="15.75">
      <c r="B42" s="7"/>
    </row>
  </sheetData>
  <sheetProtection password="CC6D" sheet="1" objects="1" scenarios="1" selectLockedCells="1"/>
  <protectedRanges>
    <protectedRange sqref="D16:G17 J16:J17" name="Range1"/>
  </protectedRanges>
  <mergeCells count="23">
    <mergeCell ref="L7:M7"/>
    <mergeCell ref="B8:M8"/>
    <mergeCell ref="B4:B5"/>
    <mergeCell ref="B15:C15"/>
    <mergeCell ref="B16:C16"/>
    <mergeCell ref="B17:C17"/>
    <mergeCell ref="C4:L4"/>
    <mergeCell ref="C5:L5"/>
    <mergeCell ref="B10:M10"/>
    <mergeCell ref="B12:M12"/>
    <mergeCell ref="D7:I7"/>
    <mergeCell ref="B7:C7"/>
    <mergeCell ref="J7:K7"/>
    <mergeCell ref="D15:I15"/>
    <mergeCell ref="D16:I16"/>
    <mergeCell ref="D17:I17"/>
    <mergeCell ref="E37:I37"/>
    <mergeCell ref="B37:D37"/>
    <mergeCell ref="B18:J18"/>
    <mergeCell ref="B27:M27"/>
    <mergeCell ref="B36:M36"/>
    <mergeCell ref="B19:M19"/>
    <mergeCell ref="K37:L37"/>
  </mergeCells>
  <printOptions/>
  <pageMargins left="0.2" right="0.2" top="0.25" bottom="0.2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7.8515625" style="0" customWidth="1"/>
    <col min="2" max="2" width="17.57421875" style="0" customWidth="1"/>
  </cols>
  <sheetData>
    <row r="1" spans="1:2" ht="14.25">
      <c r="A1" s="12" t="s">
        <v>11</v>
      </c>
      <c r="B1" t="s">
        <v>33</v>
      </c>
    </row>
    <row r="2" spans="1:2" ht="14.25">
      <c r="A2" s="13" t="s">
        <v>12</v>
      </c>
      <c r="B2">
        <v>0.15</v>
      </c>
    </row>
    <row r="3" spans="1:2" ht="14.25">
      <c r="A3" s="13" t="s">
        <v>13</v>
      </c>
      <c r="B3">
        <v>1</v>
      </c>
    </row>
    <row r="4" spans="1:2" ht="14.25">
      <c r="A4" s="13" t="s">
        <v>14</v>
      </c>
      <c r="B4">
        <v>4</v>
      </c>
    </row>
    <row r="5" spans="1:2" ht="14.25">
      <c r="A5" s="13" t="s">
        <v>16</v>
      </c>
      <c r="B5">
        <v>0.1</v>
      </c>
    </row>
    <row r="6" spans="1:2" ht="14.25">
      <c r="A6" s="13" t="s">
        <v>29</v>
      </c>
      <c r="B6">
        <v>1</v>
      </c>
    </row>
    <row r="7" spans="1:2" ht="26.25">
      <c r="A7" s="14" t="s">
        <v>17</v>
      </c>
      <c r="B7">
        <v>1.5</v>
      </c>
    </row>
    <row r="8" spans="1:2" ht="14.25">
      <c r="A8" s="13" t="s">
        <v>18</v>
      </c>
      <c r="B8">
        <v>3</v>
      </c>
    </row>
    <row r="9" spans="1:2" ht="14.25">
      <c r="A9" s="13" t="s">
        <v>19</v>
      </c>
      <c r="B9">
        <v>0.23</v>
      </c>
    </row>
    <row r="10" spans="1:2" ht="14.25">
      <c r="A10" s="13" t="s">
        <v>20</v>
      </c>
      <c r="B10">
        <v>0.15</v>
      </c>
    </row>
    <row r="11" spans="1:2" ht="14.25">
      <c r="A11" s="13" t="s">
        <v>32</v>
      </c>
      <c r="B11">
        <v>0.144</v>
      </c>
    </row>
    <row r="12" ht="14.25">
      <c r="A12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2.7109375" style="0" customWidth="1"/>
    <col min="2" max="2" width="20.421875" style="0" customWidth="1"/>
  </cols>
  <sheetData>
    <row r="1" spans="1:2" ht="14.25">
      <c r="A1" s="12" t="s">
        <v>24</v>
      </c>
      <c r="B1" t="s">
        <v>33</v>
      </c>
    </row>
    <row r="2" spans="1:2" ht="14.25">
      <c r="A2" s="13" t="s">
        <v>21</v>
      </c>
      <c r="B2">
        <v>2.4</v>
      </c>
    </row>
    <row r="3" spans="1:2" ht="14.25">
      <c r="A3" s="13" t="s">
        <v>14</v>
      </c>
      <c r="B3">
        <v>4</v>
      </c>
    </row>
    <row r="4" spans="1:2" ht="14.25">
      <c r="A4" s="13" t="s">
        <v>15</v>
      </c>
      <c r="B4">
        <v>7.5</v>
      </c>
    </row>
    <row r="5" spans="1:2" ht="14.25">
      <c r="A5" s="13" t="s">
        <v>22</v>
      </c>
      <c r="B5">
        <v>4</v>
      </c>
    </row>
    <row r="6" spans="1:2" ht="14.25">
      <c r="A6" s="13" t="s">
        <v>23</v>
      </c>
      <c r="B6">
        <v>1</v>
      </c>
    </row>
    <row r="7" spans="1:2" ht="14.25">
      <c r="A7" s="14" t="s">
        <v>31</v>
      </c>
      <c r="B7">
        <v>1.5</v>
      </c>
    </row>
    <row r="8" spans="1:2" ht="14.25">
      <c r="A8" s="13" t="s">
        <v>30</v>
      </c>
      <c r="B8">
        <v>3</v>
      </c>
    </row>
    <row r="9" ht="14.25">
      <c r="A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bestse</dc:creator>
  <cp:keywords/>
  <dc:description/>
  <cp:lastModifiedBy>Brian Warsa</cp:lastModifiedBy>
  <cp:lastPrinted>2009-11-17T21:54:37Z</cp:lastPrinted>
  <dcterms:created xsi:type="dcterms:W3CDTF">2009-09-22T21:17:10Z</dcterms:created>
  <dcterms:modified xsi:type="dcterms:W3CDTF">2017-09-13T17:44:45Z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A4HNCWTYY7X4-130-45</vt:lpwstr>
  </property>
  <property fmtid="{D5CDD505-2E9C-101B-9397-08002B2CF9AE}" pid="3" name="_dlc_DocIdItemGuid">
    <vt:lpwstr>3ac9ac65-0d86-4756-a035-ca4966f3c574</vt:lpwstr>
  </property>
  <property fmtid="{D5CDD505-2E9C-101B-9397-08002B2CF9AE}" pid="4" name="_dlc_DocIdUrl">
    <vt:lpwstr>http://admin.hca.wa.gov/medicaid/pharmacy/_layouts/DocIdRedir.aspx?ID=A4HNCWTYY7X4-130-45, A4HNCWTYY7X4-130-45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